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2" sheetId="2" r:id="rId1"/>
    <sheet name="Лист3" sheetId="3" r:id="rId2"/>
  </sheets>
  <calcPr calcId="125725" iterateDelta="1E-4"/>
</workbook>
</file>

<file path=xl/calcChain.xml><?xml version="1.0" encoding="utf-8"?>
<calcChain xmlns="http://schemas.openxmlformats.org/spreadsheetml/2006/main">
  <c r="C13" i="2"/>
  <c r="C12"/>
  <c r="K7"/>
  <c r="K6"/>
  <c r="I7"/>
  <c r="I6"/>
  <c r="G7"/>
  <c r="G6"/>
  <c r="E7"/>
  <c r="E6"/>
  <c r="C7"/>
  <c r="C6"/>
  <c r="K19"/>
  <c r="K18"/>
  <c r="I19"/>
  <c r="I18"/>
  <c r="G19"/>
  <c r="G18"/>
  <c r="E19"/>
  <c r="E18"/>
  <c r="C19"/>
  <c r="C18"/>
  <c r="K9"/>
  <c r="K8"/>
  <c r="I9"/>
  <c r="I8"/>
  <c r="G9"/>
  <c r="G8"/>
  <c r="E9"/>
  <c r="E8"/>
  <c r="C9"/>
  <c r="C8"/>
  <c r="M10"/>
  <c r="K11"/>
  <c r="K10"/>
  <c r="I11"/>
  <c r="I10"/>
  <c r="G11"/>
  <c r="G10"/>
  <c r="E11"/>
  <c r="E10"/>
  <c r="C11"/>
  <c r="C10"/>
  <c r="M17" l="1"/>
  <c r="M16"/>
  <c r="K13"/>
  <c r="K12"/>
  <c r="I13"/>
  <c r="I12"/>
  <c r="G13"/>
  <c r="G12"/>
  <c r="E13"/>
  <c r="E12"/>
  <c r="K17"/>
  <c r="C16"/>
  <c r="K16"/>
  <c r="I17"/>
  <c r="I16"/>
  <c r="G17"/>
  <c r="G16"/>
  <c r="E17"/>
  <c r="E16"/>
  <c r="C17"/>
  <c r="M43"/>
  <c r="K47"/>
  <c r="M12"/>
  <c r="M13"/>
  <c r="M9"/>
  <c r="M8"/>
  <c r="M6"/>
  <c r="C14"/>
  <c r="M11" l="1"/>
  <c r="I34"/>
  <c r="I33"/>
  <c r="I32"/>
  <c r="I31"/>
  <c r="M7"/>
  <c r="E32"/>
  <c r="E31"/>
  <c r="C38"/>
  <c r="C36"/>
  <c r="O47"/>
  <c r="M47"/>
  <c r="I50"/>
  <c r="H50"/>
  <c r="G38" l="1"/>
  <c r="G37"/>
  <c r="G36"/>
  <c r="G35"/>
  <c r="G34"/>
  <c r="G33"/>
  <c r="G32"/>
  <c r="G31"/>
  <c r="P47" l="1"/>
  <c r="N47"/>
  <c r="C20"/>
  <c r="D44"/>
  <c r="D45"/>
  <c r="D46"/>
  <c r="D47"/>
  <c r="D48"/>
  <c r="L47"/>
  <c r="I37" l="1"/>
  <c r="E38"/>
  <c r="E36"/>
  <c r="C37"/>
  <c r="C35"/>
  <c r="C32"/>
  <c r="C33"/>
  <c r="C34"/>
  <c r="I38"/>
  <c r="I36"/>
  <c r="I35"/>
  <c r="E37" l="1"/>
  <c r="E35"/>
  <c r="E34"/>
  <c r="E33"/>
  <c r="C31"/>
  <c r="D31" s="1"/>
  <c r="I20" l="1"/>
  <c r="G20"/>
  <c r="E20"/>
  <c r="I21"/>
  <c r="G21"/>
  <c r="E21"/>
  <c r="C21"/>
  <c r="K25"/>
  <c r="I25"/>
  <c r="G25"/>
  <c r="E25"/>
  <c r="C25"/>
  <c r="K24"/>
  <c r="I24"/>
  <c r="G24"/>
  <c r="E24"/>
  <c r="C24"/>
  <c r="M19" l="1"/>
  <c r="M18"/>
  <c r="K23"/>
  <c r="G23"/>
  <c r="M23" l="1"/>
  <c r="C23"/>
  <c r="D23" s="1"/>
  <c r="C15"/>
  <c r="D15" s="1"/>
  <c r="D14"/>
  <c r="G14"/>
  <c r="H14" s="1"/>
  <c r="G15"/>
  <c r="H15" s="1"/>
  <c r="I14"/>
  <c r="J14" s="1"/>
  <c r="I15"/>
  <c r="K14"/>
  <c r="L14" s="1"/>
  <c r="K15"/>
  <c r="L15" s="1"/>
  <c r="K21"/>
  <c r="L21" s="1"/>
  <c r="K20"/>
  <c r="E15"/>
  <c r="E14"/>
  <c r="E23"/>
  <c r="I23"/>
  <c r="J23" s="1"/>
  <c r="M25"/>
  <c r="N25" s="1"/>
  <c r="M24"/>
  <c r="N24" s="1"/>
  <c r="M20"/>
  <c r="M21"/>
  <c r="H20"/>
  <c r="E22"/>
  <c r="F22" s="1"/>
  <c r="L24"/>
  <c r="I22"/>
  <c r="J22" s="1"/>
  <c r="H21"/>
  <c r="F24"/>
  <c r="J20"/>
  <c r="D24"/>
  <c r="C22"/>
  <c r="K22"/>
  <c r="L22" s="1"/>
  <c r="J24"/>
  <c r="H24"/>
  <c r="F25"/>
  <c r="G22"/>
  <c r="H22" s="1"/>
  <c r="D21"/>
  <c r="D25"/>
  <c r="D20"/>
  <c r="C47"/>
  <c r="H25"/>
  <c r="L17"/>
  <c r="H16"/>
  <c r="N13"/>
  <c r="H13"/>
  <c r="F13"/>
  <c r="L12"/>
  <c r="H12"/>
  <c r="F12"/>
  <c r="D12"/>
  <c r="J32"/>
  <c r="J33"/>
  <c r="J34"/>
  <c r="J35"/>
  <c r="J36"/>
  <c r="J37"/>
  <c r="J38"/>
  <c r="J31"/>
  <c r="H32"/>
  <c r="H33"/>
  <c r="H34"/>
  <c r="H35"/>
  <c r="H36"/>
  <c r="H37"/>
  <c r="H38"/>
  <c r="H31"/>
  <c r="F32"/>
  <c r="F33"/>
  <c r="F34"/>
  <c r="F35"/>
  <c r="F36"/>
  <c r="F37"/>
  <c r="F38"/>
  <c r="F31"/>
  <c r="D32"/>
  <c r="D33"/>
  <c r="D34"/>
  <c r="D35"/>
  <c r="D36"/>
  <c r="D37"/>
  <c r="D38"/>
  <c r="N6"/>
  <c r="N7"/>
  <c r="N19"/>
  <c r="N18"/>
  <c r="L6"/>
  <c r="J18"/>
  <c r="J6"/>
  <c r="J19"/>
  <c r="J7"/>
  <c r="H18"/>
  <c r="H10"/>
  <c r="H8"/>
  <c r="H6"/>
  <c r="H11"/>
  <c r="H19"/>
  <c r="H9"/>
  <c r="H7"/>
  <c r="F11"/>
  <c r="F19"/>
  <c r="F18"/>
  <c r="F6"/>
  <c r="F7"/>
  <c r="L18"/>
  <c r="L11"/>
  <c r="L19"/>
  <c r="L7"/>
  <c r="F17"/>
  <c r="C44"/>
  <c r="C45"/>
  <c r="C46"/>
  <c r="C48"/>
  <c r="D43"/>
  <c r="C43"/>
  <c r="H44"/>
  <c r="H45"/>
  <c r="H46"/>
  <c r="H43"/>
  <c r="I44"/>
  <c r="I45"/>
  <c r="I46"/>
  <c r="I43"/>
  <c r="L16"/>
  <c r="J10"/>
  <c r="L13"/>
  <c r="L9"/>
  <c r="H17"/>
  <c r="D13"/>
  <c r="M22" l="1"/>
  <c r="N22" s="1"/>
  <c r="M15"/>
  <c r="M14"/>
  <c r="N14" s="1"/>
  <c r="D7"/>
  <c r="D17"/>
  <c r="D16"/>
  <c r="J12"/>
  <c r="D10"/>
  <c r="D6"/>
  <c r="L8"/>
  <c r="D22"/>
  <c r="F20"/>
  <c r="H23"/>
  <c r="J9"/>
  <c r="L10"/>
  <c r="F10"/>
  <c r="D19"/>
  <c r="J8"/>
  <c r="L25"/>
  <c r="N8"/>
  <c r="D11"/>
  <c r="N10"/>
  <c r="F9"/>
  <c r="L23"/>
  <c r="F23"/>
  <c r="L20"/>
  <c r="D8"/>
  <c r="F8"/>
  <c r="F15"/>
  <c r="F21"/>
  <c r="N21"/>
  <c r="D18"/>
  <c r="D9"/>
  <c r="J11"/>
  <c r="F14"/>
  <c r="J15"/>
  <c r="J21"/>
  <c r="J25"/>
  <c r="J17"/>
  <c r="F16"/>
  <c r="J13"/>
  <c r="J16"/>
  <c r="N17"/>
  <c r="N16"/>
  <c r="N12" l="1"/>
  <c r="N20"/>
  <c r="N23"/>
  <c r="N11"/>
  <c r="N15"/>
  <c r="N9"/>
</calcChain>
</file>

<file path=xl/sharedStrings.xml><?xml version="1.0" encoding="utf-8"?>
<sst xmlns="http://schemas.openxmlformats.org/spreadsheetml/2006/main" count="138" uniqueCount="69">
  <si>
    <t>дуб</t>
  </si>
  <si>
    <t>бук</t>
  </si>
  <si>
    <t>ДСП 2750*910</t>
  </si>
  <si>
    <t>шпон</t>
  </si>
  <si>
    <t>ясень бел</t>
  </si>
  <si>
    <t>ясень дв</t>
  </si>
  <si>
    <t>1сорт</t>
  </si>
  <si>
    <t>м2</t>
  </si>
  <si>
    <t>лист</t>
  </si>
  <si>
    <t>кв.м</t>
  </si>
  <si>
    <t>МДФ-3</t>
  </si>
  <si>
    <t>ДСП-16</t>
  </si>
  <si>
    <t>МДФ-6</t>
  </si>
  <si>
    <t>МДФ-8</t>
  </si>
  <si>
    <t>ДСП-18</t>
  </si>
  <si>
    <t>МДФ-10</t>
  </si>
  <si>
    <t>ДСП-25</t>
  </si>
  <si>
    <t>МДФ-16</t>
  </si>
  <si>
    <t>МДФ-18</t>
  </si>
  <si>
    <t>2800*1030</t>
  </si>
  <si>
    <t>2800*2070</t>
  </si>
  <si>
    <t>МДФ-12 (6+6)</t>
  </si>
  <si>
    <t>МДФ-20 (10+10)</t>
  </si>
  <si>
    <t>МДФ-24 (8+8+8)</t>
  </si>
  <si>
    <t>МДФ-32 (16+16)</t>
  </si>
  <si>
    <t>МДФ ЧИСТЫЙ</t>
  </si>
  <si>
    <t>ДСП Чистый</t>
  </si>
  <si>
    <t>кв.м/руб</t>
  </si>
  <si>
    <t>19мм</t>
  </si>
  <si>
    <t>23/24мм</t>
  </si>
  <si>
    <t>30мм</t>
  </si>
  <si>
    <t>44мм</t>
  </si>
  <si>
    <t>52мм</t>
  </si>
  <si>
    <t>2750*910</t>
  </si>
  <si>
    <t>2750*1820</t>
  </si>
  <si>
    <t>лист/р</t>
  </si>
  <si>
    <t xml:space="preserve">Кромка </t>
  </si>
  <si>
    <t>Шпон</t>
  </si>
  <si>
    <t>Файн-лайн</t>
  </si>
  <si>
    <t>ДСП -10</t>
  </si>
  <si>
    <r>
      <t>Детали нестандартного размера -</t>
    </r>
    <r>
      <rPr>
        <b/>
        <sz val="11"/>
        <rFont val="Calibri"/>
        <family val="2"/>
        <charset val="204"/>
        <scheme val="minor"/>
      </rPr>
      <t>33% к цене</t>
    </r>
  </si>
  <si>
    <r>
      <t>Поперечное фанерование -</t>
    </r>
    <r>
      <rPr>
        <b/>
        <sz val="11"/>
        <rFont val="Calibri"/>
        <family val="2"/>
        <charset val="204"/>
        <scheme val="minor"/>
      </rPr>
      <t>20% к цене</t>
    </r>
  </si>
  <si>
    <r>
      <t>Раскрой готовых панелей-</t>
    </r>
    <r>
      <rPr>
        <b/>
        <sz val="11"/>
        <rFont val="Calibri"/>
        <family val="2"/>
        <charset val="204"/>
        <scheme val="minor"/>
      </rPr>
      <t>35р м/п,</t>
    </r>
    <r>
      <rPr>
        <sz val="11"/>
        <rFont val="Calibri"/>
        <family val="2"/>
        <charset val="204"/>
        <scheme val="minor"/>
      </rPr>
      <t xml:space="preserve"> Распил на ЧПУ-</t>
    </r>
    <r>
      <rPr>
        <b/>
        <sz val="11"/>
        <rFont val="Calibri"/>
        <family val="2"/>
        <charset val="204"/>
        <scheme val="minor"/>
      </rPr>
      <t xml:space="preserve"> 50руб/м.п.</t>
    </r>
  </si>
  <si>
    <r>
      <t>Ручная шлифовка -</t>
    </r>
    <r>
      <rPr>
        <b/>
        <sz val="11"/>
        <rFont val="Calibri"/>
        <family val="2"/>
        <charset val="204"/>
        <scheme val="minor"/>
      </rPr>
      <t>200руб/кв.м.</t>
    </r>
  </si>
  <si>
    <t>"ЛайсWood"
Фанерование панелей натуральным шпоном. Тел:+7(3532)965696</t>
  </si>
  <si>
    <t>ясень белый</t>
  </si>
  <si>
    <t>американский орех</t>
  </si>
  <si>
    <t>мм</t>
  </si>
  <si>
    <t>дуб, сапели</t>
  </si>
  <si>
    <t>1стор.</t>
  </si>
  <si>
    <t>2стор.</t>
  </si>
  <si>
    <t>м.п./р.</t>
  </si>
  <si>
    <t>ясень ДВ/сосна</t>
  </si>
  <si>
    <t>анегри,  лиственница</t>
  </si>
  <si>
    <r>
      <t>Детали свыше длины 3000мм-</t>
    </r>
    <r>
      <rPr>
        <b/>
        <sz val="11"/>
        <rFont val="Calibri"/>
        <family val="2"/>
        <charset val="204"/>
        <scheme val="minor"/>
      </rPr>
      <t>50% к цене</t>
    </r>
  </si>
  <si>
    <r>
      <t>Черновая рубашка(компенсатор)-</t>
    </r>
    <r>
      <rPr>
        <b/>
        <sz val="11"/>
        <rFont val="Calibri"/>
        <family val="2"/>
        <charset val="204"/>
        <scheme val="minor"/>
      </rPr>
      <t>150руб м/кв</t>
    </r>
  </si>
  <si>
    <r>
      <t xml:space="preserve">Маркетри </t>
    </r>
    <r>
      <rPr>
        <sz val="11"/>
        <color theme="1"/>
        <rFont val="Calibri"/>
        <family val="2"/>
        <charset val="204"/>
        <scheme val="minor"/>
      </rPr>
      <t>(шпон заказчика) только подбор 4128 м.кв</t>
    </r>
  </si>
  <si>
    <t>руб кв.м</t>
  </si>
  <si>
    <t>Ламинир. МДФ</t>
  </si>
  <si>
    <t>МДФ глуб. фрезеровки</t>
  </si>
  <si>
    <t>Шлифовка-120 руб/кв.м.</t>
  </si>
  <si>
    <t>Переклейка</t>
  </si>
  <si>
    <t>Ламинир. МДФ шпонированный (2800*1030)</t>
  </si>
  <si>
    <t>ясень ДВ</t>
  </si>
  <si>
    <t xml:space="preserve">   </t>
  </si>
  <si>
    <t>3D Фанера под заказ</t>
  </si>
  <si>
    <t xml:space="preserve">дуб </t>
  </si>
  <si>
    <t>ФАНЕРА цена по запросу</t>
  </si>
  <si>
    <t>16,08,21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</si>
</sst>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/>
    <xf numFmtId="0" fontId="1" fillId="0" borderId="2" xfId="0" applyFont="1" applyBorder="1"/>
    <xf numFmtId="0" fontId="0" fillId="0" borderId="16" xfId="0" applyBorder="1"/>
    <xf numFmtId="1" fontId="0" fillId="0" borderId="17" xfId="0" applyNumberFormat="1" applyBorder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0" xfId="0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/>
    <xf numFmtId="1" fontId="0" fillId="0" borderId="0" xfId="0" applyNumberFormat="1" applyFont="1"/>
    <xf numFmtId="0" fontId="0" fillId="0" borderId="1" xfId="0" applyFont="1" applyBorder="1"/>
    <xf numFmtId="0" fontId="5" fillId="0" borderId="0" xfId="0" applyFont="1" applyBorder="1"/>
    <xf numFmtId="1" fontId="5" fillId="0" borderId="0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1" fontId="0" fillId="3" borderId="0" xfId="0" applyNumberFormat="1" applyFill="1" applyBorder="1"/>
    <xf numFmtId="0" fontId="0" fillId="3" borderId="0" xfId="0" applyFill="1" applyBorder="1" applyAlignment="1">
      <alignment wrapText="1"/>
    </xf>
    <xf numFmtId="1" fontId="0" fillId="3" borderId="0" xfId="0" applyNumberFormat="1" applyFont="1" applyFill="1"/>
    <xf numFmtId="0" fontId="0" fillId="0" borderId="0" xfId="0" applyFont="1" applyBorder="1"/>
    <xf numFmtId="1" fontId="0" fillId="0" borderId="0" xfId="0" applyNumberFormat="1" applyFont="1" applyBorder="1"/>
    <xf numFmtId="0" fontId="0" fillId="3" borderId="0" xfId="0" applyFont="1" applyFill="1"/>
    <xf numFmtId="0" fontId="0" fillId="3" borderId="9" xfId="0" applyFill="1" applyBorder="1" applyAlignment="1">
      <alignment wrapText="1"/>
    </xf>
    <xf numFmtId="0" fontId="6" fillId="0" borderId="0" xfId="0" applyFont="1"/>
    <xf numFmtId="1" fontId="0" fillId="0" borderId="0" xfId="0" applyNumberFormat="1" applyBorder="1"/>
    <xf numFmtId="0" fontId="0" fillId="3" borderId="1" xfId="0" applyFill="1" applyBorder="1"/>
    <xf numFmtId="1" fontId="0" fillId="0" borderId="1" xfId="0" applyNumberFormat="1" applyFont="1" applyBorder="1"/>
    <xf numFmtId="0" fontId="4" fillId="0" borderId="2" xfId="0" applyFont="1" applyBorder="1"/>
    <xf numFmtId="0" fontId="5" fillId="0" borderId="16" xfId="0" applyFont="1" applyBorder="1"/>
    <xf numFmtId="1" fontId="5" fillId="0" borderId="17" xfId="0" applyNumberFormat="1" applyFont="1" applyBorder="1"/>
    <xf numFmtId="0" fontId="5" fillId="0" borderId="0" xfId="0" applyFont="1"/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topLeftCell="A26" workbookViewId="0">
      <selection activeCell="A51" sqref="A51"/>
    </sheetView>
  </sheetViews>
  <sheetFormatPr defaultRowHeight="15"/>
  <cols>
    <col min="1" max="1" width="10" style="6" customWidth="1"/>
    <col min="2" max="2" width="7.140625" customWidth="1"/>
    <col min="3" max="3" width="6.85546875" customWidth="1"/>
    <col min="4" max="4" width="9.140625" customWidth="1"/>
    <col min="5" max="5" width="6.140625" customWidth="1"/>
    <col min="6" max="6" width="7" customWidth="1"/>
    <col min="7" max="7" width="6.140625" customWidth="1"/>
    <col min="8" max="8" width="5.7109375" style="11" customWidth="1"/>
    <col min="9" max="9" width="8.7109375" customWidth="1"/>
    <col min="10" max="10" width="5.85546875" style="11" customWidth="1"/>
    <col min="11" max="11" width="6" customWidth="1"/>
    <col min="12" max="12" width="6.140625" style="11" customWidth="1"/>
    <col min="13" max="13" width="6.85546875" customWidth="1"/>
    <col min="14" max="14" width="6" customWidth="1"/>
    <col min="15" max="15" width="5.140625" bestFit="1" customWidth="1"/>
    <col min="16" max="17" width="5" bestFit="1" customWidth="1"/>
    <col min="18" max="18" width="5.140625" bestFit="1" customWidth="1"/>
    <col min="19" max="19" width="5" bestFit="1" customWidth="1"/>
  </cols>
  <sheetData>
    <row r="1" spans="1:16" ht="27.75" customHeight="1" thickBot="1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55" t="s">
        <v>68</v>
      </c>
      <c r="O1" s="56"/>
      <c r="P1" s="56"/>
    </row>
    <row r="2" spans="1:16">
      <c r="A2" s="67" t="s">
        <v>6</v>
      </c>
      <c r="B2" s="68"/>
      <c r="C2" s="78" t="s">
        <v>52</v>
      </c>
      <c r="D2" s="79"/>
      <c r="E2" s="73" t="s">
        <v>48</v>
      </c>
      <c r="F2" s="74"/>
      <c r="G2" s="73" t="s">
        <v>1</v>
      </c>
      <c r="H2" s="74"/>
      <c r="I2" s="73" t="s">
        <v>53</v>
      </c>
      <c r="J2" s="74"/>
      <c r="K2" s="73" t="s">
        <v>45</v>
      </c>
      <c r="L2" s="74"/>
      <c r="M2" s="73" t="s">
        <v>46</v>
      </c>
      <c r="N2" s="74"/>
    </row>
    <row r="3" spans="1:16" ht="14.25" customHeight="1">
      <c r="A3" s="69"/>
      <c r="B3" s="70"/>
      <c r="C3" s="80"/>
      <c r="D3" s="81"/>
      <c r="E3" s="75"/>
      <c r="F3" s="70"/>
      <c r="G3" s="75"/>
      <c r="H3" s="70"/>
      <c r="I3" s="75"/>
      <c r="J3" s="70"/>
      <c r="K3" s="75"/>
      <c r="L3" s="70"/>
      <c r="M3" s="75"/>
      <c r="N3" s="70"/>
    </row>
    <row r="4" spans="1:16" ht="3.75" hidden="1" customHeight="1">
      <c r="A4" s="69"/>
      <c r="B4" s="70"/>
      <c r="C4" s="82"/>
      <c r="D4" s="83"/>
      <c r="E4" s="76"/>
      <c r="F4" s="72"/>
      <c r="G4" s="76"/>
      <c r="H4" s="72"/>
      <c r="I4" s="76"/>
      <c r="J4" s="72"/>
      <c r="K4" s="76"/>
      <c r="L4" s="72"/>
      <c r="M4" s="76"/>
      <c r="N4" s="72"/>
    </row>
    <row r="5" spans="1:16" ht="13.5" customHeight="1">
      <c r="A5" s="71"/>
      <c r="B5" s="72"/>
      <c r="C5" s="26" t="s">
        <v>9</v>
      </c>
      <c r="D5" s="27" t="s">
        <v>8</v>
      </c>
      <c r="E5" s="26" t="s">
        <v>9</v>
      </c>
      <c r="F5" s="27" t="s">
        <v>8</v>
      </c>
      <c r="G5" s="26" t="s">
        <v>9</v>
      </c>
      <c r="H5" s="28" t="s">
        <v>8</v>
      </c>
      <c r="I5" s="26" t="s">
        <v>9</v>
      </c>
      <c r="J5" s="28" t="s">
        <v>8</v>
      </c>
      <c r="K5" s="26" t="s">
        <v>9</v>
      </c>
      <c r="L5" s="28" t="s">
        <v>8</v>
      </c>
      <c r="M5" s="26" t="s">
        <v>9</v>
      </c>
      <c r="N5" s="28" t="s">
        <v>8</v>
      </c>
    </row>
    <row r="6" spans="1:16">
      <c r="A6" s="89" t="s">
        <v>10</v>
      </c>
      <c r="B6" s="8" t="s">
        <v>49</v>
      </c>
      <c r="C6" s="9">
        <f>614+50+32+38+60</f>
        <v>794</v>
      </c>
      <c r="D6" s="10">
        <f>2.884*C6</f>
        <v>2289.8959999999997</v>
      </c>
      <c r="E6" s="9">
        <f>589+50+50+32+38+60</f>
        <v>819</v>
      </c>
      <c r="F6" s="10">
        <f>E6*2.884</f>
        <v>2361.9960000000001</v>
      </c>
      <c r="G6" s="9">
        <f>584+30+32+38+60</f>
        <v>744</v>
      </c>
      <c r="H6" s="10">
        <f>G6*2.884</f>
        <v>2145.6959999999999</v>
      </c>
      <c r="I6" s="9">
        <f>597+50+32+38+60</f>
        <v>777</v>
      </c>
      <c r="J6" s="10">
        <f>I6*2.884</f>
        <v>2240.8679999999999</v>
      </c>
      <c r="K6" s="9">
        <f>647+30+32+38+60</f>
        <v>807</v>
      </c>
      <c r="L6" s="10">
        <f>K6*2.884</f>
        <v>2327.3879999999999</v>
      </c>
      <c r="M6" s="9">
        <f>C6-150+760+40</f>
        <v>1444</v>
      </c>
      <c r="N6" s="10">
        <f>M6*2.884</f>
        <v>4164.4960000000001</v>
      </c>
    </row>
    <row r="7" spans="1:16">
      <c r="A7" s="90"/>
      <c r="B7" s="8" t="s">
        <v>50</v>
      </c>
      <c r="C7" s="9">
        <f>960+100+32+38+60</f>
        <v>1190</v>
      </c>
      <c r="D7" s="10">
        <f t="shared" ref="D7:D24" si="0">2.884*C7</f>
        <v>3431.96</v>
      </c>
      <c r="E7" s="9">
        <f>885+50+50+100+32+38+60</f>
        <v>1215</v>
      </c>
      <c r="F7" s="10">
        <f t="shared" ref="F7:F25" si="1">E7*2.884</f>
        <v>3504.06</v>
      </c>
      <c r="G7" s="9">
        <f>880+50+65+32+38+60</f>
        <v>1125</v>
      </c>
      <c r="H7" s="10">
        <f t="shared" ref="H7:H25" si="2">G7*2.884</f>
        <v>3244.5</v>
      </c>
      <c r="I7" s="9">
        <f>893+50+100+32+38+60</f>
        <v>1173</v>
      </c>
      <c r="J7" s="10">
        <f t="shared" ref="J7:J25" si="3">I7*2.884</f>
        <v>3382.9319999999998</v>
      </c>
      <c r="K7" s="9">
        <f>993+50+65+32+38+60</f>
        <v>1238</v>
      </c>
      <c r="L7" s="10">
        <f t="shared" ref="L7:N25" si="4">K7*2.884</f>
        <v>3570.3919999999998</v>
      </c>
      <c r="M7" s="9">
        <f>C7-300+1520+80</f>
        <v>2490</v>
      </c>
      <c r="N7" s="10">
        <f t="shared" si="4"/>
        <v>7181.16</v>
      </c>
    </row>
    <row r="8" spans="1:16">
      <c r="A8" s="89" t="s">
        <v>12</v>
      </c>
      <c r="B8" s="8" t="s">
        <v>49</v>
      </c>
      <c r="C8" s="9">
        <f>698+50+51+70+13+83+165</f>
        <v>1130</v>
      </c>
      <c r="D8" s="10">
        <f t="shared" si="0"/>
        <v>3258.92</v>
      </c>
      <c r="E8" s="9">
        <f>673+50+50+51+70+13+83+165</f>
        <v>1155</v>
      </c>
      <c r="F8" s="10">
        <f t="shared" si="1"/>
        <v>3331.02</v>
      </c>
      <c r="G8" s="9">
        <f>668+30+51+70+13+83+165</f>
        <v>1080</v>
      </c>
      <c r="H8" s="10">
        <f t="shared" si="2"/>
        <v>3114.72</v>
      </c>
      <c r="I8" s="9">
        <f>681+50+51+70+13+83+165</f>
        <v>1113</v>
      </c>
      <c r="J8" s="10">
        <f t="shared" si="3"/>
        <v>3209.8919999999998</v>
      </c>
      <c r="K8" s="9">
        <f>731+30+51+70+13+83+165</f>
        <v>1143</v>
      </c>
      <c r="L8" s="10">
        <f t="shared" si="4"/>
        <v>3296.4119999999998</v>
      </c>
      <c r="M8" s="9">
        <f>C8-150+760+50+51+13+83</f>
        <v>1937</v>
      </c>
      <c r="N8" s="10">
        <f t="shared" si="4"/>
        <v>5586.308</v>
      </c>
    </row>
    <row r="9" spans="1:16">
      <c r="A9" s="90"/>
      <c r="B9" s="8" t="s">
        <v>50</v>
      </c>
      <c r="C9" s="9">
        <f>1045+100+51+70+13+83+165</f>
        <v>1527</v>
      </c>
      <c r="D9" s="10">
        <f t="shared" si="0"/>
        <v>4403.8679999999995</v>
      </c>
      <c r="E9" s="9">
        <f>970+50+50+100+51+70+13+83+165</f>
        <v>1552</v>
      </c>
      <c r="F9" s="10">
        <f t="shared" si="1"/>
        <v>4475.9679999999998</v>
      </c>
      <c r="G9" s="9">
        <f>965+50+65+51+70+13+83+165</f>
        <v>1462</v>
      </c>
      <c r="H9" s="10">
        <f t="shared" si="2"/>
        <v>4216.4079999999994</v>
      </c>
      <c r="I9" s="9">
        <f>978+50+100+51+70+13+83+165</f>
        <v>1510</v>
      </c>
      <c r="J9" s="10">
        <f t="shared" si="3"/>
        <v>4354.84</v>
      </c>
      <c r="K9" s="9">
        <f>1078+50+65+51+70+13+83+165</f>
        <v>1575</v>
      </c>
      <c r="L9" s="10">
        <f t="shared" si="4"/>
        <v>4542.3</v>
      </c>
      <c r="M9" s="9">
        <f>C9-300+1520+100+51+13+83</f>
        <v>2994</v>
      </c>
      <c r="N9" s="10">
        <f t="shared" si="4"/>
        <v>8634.6959999999999</v>
      </c>
    </row>
    <row r="10" spans="1:16">
      <c r="A10" s="89" t="s">
        <v>13</v>
      </c>
      <c r="B10" s="8" t="s">
        <v>49</v>
      </c>
      <c r="C10" s="9">
        <f>737+50+71+76+36+105+136</f>
        <v>1211</v>
      </c>
      <c r="D10" s="10">
        <f t="shared" si="0"/>
        <v>3492.5239999999999</v>
      </c>
      <c r="E10" s="9">
        <f>712+50+50+71+76+36+105+136</f>
        <v>1236</v>
      </c>
      <c r="F10" s="10">
        <f t="shared" si="1"/>
        <v>3564.6239999999998</v>
      </c>
      <c r="G10" s="9">
        <f>707+30+71+76+36+105+136</f>
        <v>1161</v>
      </c>
      <c r="H10" s="10">
        <f t="shared" si="2"/>
        <v>3348.3240000000001</v>
      </c>
      <c r="I10" s="9">
        <f>720+50+71+76+36+105+136</f>
        <v>1194</v>
      </c>
      <c r="J10" s="10">
        <f t="shared" si="3"/>
        <v>3443.4960000000001</v>
      </c>
      <c r="K10" s="9">
        <f>770+30+71+76+36+105+136</f>
        <v>1224</v>
      </c>
      <c r="L10" s="10">
        <f t="shared" si="4"/>
        <v>3530.0160000000001</v>
      </c>
      <c r="M10" s="9">
        <f>C10-150+760+50+71+36</f>
        <v>1978</v>
      </c>
      <c r="N10" s="10">
        <f t="shared" si="4"/>
        <v>5704.5519999999997</v>
      </c>
    </row>
    <row r="11" spans="1:16">
      <c r="A11" s="90"/>
      <c r="B11" s="8" t="s">
        <v>50</v>
      </c>
      <c r="C11" s="9">
        <f>1083+100+71+76+36+105+136</f>
        <v>1607</v>
      </c>
      <c r="D11" s="10">
        <f t="shared" si="0"/>
        <v>4634.5879999999997</v>
      </c>
      <c r="E11" s="9">
        <f>1058+50+100+71+76+36+105+136</f>
        <v>1632</v>
      </c>
      <c r="F11" s="10">
        <f t="shared" si="1"/>
        <v>4706.6880000000001</v>
      </c>
      <c r="G11" s="9">
        <f>1003+50+65+71+76+36+105+136</f>
        <v>1542</v>
      </c>
      <c r="H11" s="10">
        <f t="shared" si="2"/>
        <v>4447.1279999999997</v>
      </c>
      <c r="I11" s="9">
        <f>1016+50+100+71+76+36+105+136</f>
        <v>1590</v>
      </c>
      <c r="J11" s="10">
        <f t="shared" si="3"/>
        <v>4585.5599999999995</v>
      </c>
      <c r="K11" s="9">
        <f>1116+50+65+71+76+36+105+136</f>
        <v>1655</v>
      </c>
      <c r="L11" s="10">
        <f t="shared" si="4"/>
        <v>4773.0199999999995</v>
      </c>
      <c r="M11" s="9">
        <f>C11-300+1520+100+71+36</f>
        <v>3034</v>
      </c>
      <c r="N11" s="10">
        <f t="shared" si="4"/>
        <v>8750.0560000000005</v>
      </c>
    </row>
    <row r="12" spans="1:16" s="45" customFormat="1">
      <c r="A12" s="92" t="s">
        <v>15</v>
      </c>
      <c r="B12" s="42" t="s">
        <v>49</v>
      </c>
      <c r="C12" s="43">
        <f>795+50+68+27+10+173+43+132+168</f>
        <v>1466</v>
      </c>
      <c r="D12" s="44">
        <f t="shared" si="0"/>
        <v>4227.9439999999995</v>
      </c>
      <c r="E12" s="43">
        <f>770+50+50+68+27+10+173+43+132+168</f>
        <v>1491</v>
      </c>
      <c r="F12" s="44">
        <f t="shared" si="1"/>
        <v>4300.0439999999999</v>
      </c>
      <c r="G12" s="43">
        <f>765+30+68+27+10+173+43+132+168</f>
        <v>1416</v>
      </c>
      <c r="H12" s="44">
        <f t="shared" si="2"/>
        <v>4083.7439999999997</v>
      </c>
      <c r="I12" s="43">
        <f>778+50+68+27+10+173+43+132+168</f>
        <v>1449</v>
      </c>
      <c r="J12" s="44">
        <f t="shared" si="3"/>
        <v>4178.9160000000002</v>
      </c>
      <c r="K12" s="43">
        <f>828+30+68+27+173+43+132+168</f>
        <v>1469</v>
      </c>
      <c r="L12" s="44">
        <f t="shared" si="4"/>
        <v>4236.5959999999995</v>
      </c>
      <c r="M12" s="43">
        <f>C12-150+760+50+27+10</f>
        <v>2163</v>
      </c>
      <c r="N12" s="44">
        <f t="shared" si="4"/>
        <v>6238.0919999999996</v>
      </c>
    </row>
    <row r="13" spans="1:16" s="45" customFormat="1">
      <c r="A13" s="93"/>
      <c r="B13" s="42" t="s">
        <v>50</v>
      </c>
      <c r="C13" s="43">
        <f>1142+100+68+27+10+173+43+132+168</f>
        <v>1863</v>
      </c>
      <c r="D13" s="44">
        <f t="shared" si="0"/>
        <v>5372.8919999999998</v>
      </c>
      <c r="E13" s="43">
        <f>1067+50+50+100+68+27+10+173+43+132+168</f>
        <v>1888</v>
      </c>
      <c r="F13" s="44">
        <f t="shared" si="1"/>
        <v>5444.9920000000002</v>
      </c>
      <c r="G13" s="43">
        <f>1062+50+65+68+27+10+173+43+132+168</f>
        <v>1798</v>
      </c>
      <c r="H13" s="44">
        <f t="shared" si="2"/>
        <v>5185.4319999999998</v>
      </c>
      <c r="I13" s="43">
        <f>1088+50+100+68+27+10+173+43+132+168</f>
        <v>1859</v>
      </c>
      <c r="J13" s="44">
        <f t="shared" si="3"/>
        <v>5361.3559999999998</v>
      </c>
      <c r="K13" s="43">
        <f>1188+50+65+68+27+10+173+43+132+168</f>
        <v>1924</v>
      </c>
      <c r="L13" s="44">
        <f t="shared" si="4"/>
        <v>5548.8159999999998</v>
      </c>
      <c r="M13" s="43">
        <f>C13-300+1520+100+68+27+10</f>
        <v>3288</v>
      </c>
      <c r="N13" s="44">
        <f t="shared" si="4"/>
        <v>9482.5920000000006</v>
      </c>
    </row>
    <row r="14" spans="1:16">
      <c r="A14" s="89" t="s">
        <v>21</v>
      </c>
      <c r="B14" s="8" t="s">
        <v>49</v>
      </c>
      <c r="C14" s="9">
        <f>C8+B44+B65</f>
        <v>1852</v>
      </c>
      <c r="D14" s="10">
        <f t="shared" si="0"/>
        <v>5341.1679999999997</v>
      </c>
      <c r="E14" s="9">
        <f>E8+B44+B65</f>
        <v>1877</v>
      </c>
      <c r="F14" s="10">
        <f t="shared" si="1"/>
        <v>5413.268</v>
      </c>
      <c r="G14" s="9">
        <f>G8+B44+B65</f>
        <v>1802</v>
      </c>
      <c r="H14" s="10">
        <f t="shared" si="2"/>
        <v>5196.9679999999998</v>
      </c>
      <c r="I14" s="9">
        <f>I8+B44+B65</f>
        <v>1835</v>
      </c>
      <c r="J14" s="10">
        <f t="shared" si="3"/>
        <v>5292.1399999999994</v>
      </c>
      <c r="K14" s="9">
        <f>K8+B44+B65</f>
        <v>1865</v>
      </c>
      <c r="L14" s="10">
        <f t="shared" si="4"/>
        <v>5378.66</v>
      </c>
      <c r="M14" s="9">
        <f>M8+B44+B65</f>
        <v>2659</v>
      </c>
      <c r="N14" s="10">
        <f t="shared" si="4"/>
        <v>7668.5559999999996</v>
      </c>
    </row>
    <row r="15" spans="1:16">
      <c r="A15" s="90"/>
      <c r="B15" s="8" t="s">
        <v>50</v>
      </c>
      <c r="C15" s="9">
        <f>C8*2+B65</f>
        <v>2380</v>
      </c>
      <c r="D15" s="10">
        <f t="shared" si="0"/>
        <v>6863.92</v>
      </c>
      <c r="E15" s="9">
        <f>E8*2+B65</f>
        <v>2430</v>
      </c>
      <c r="F15" s="10">
        <f t="shared" si="1"/>
        <v>7008.12</v>
      </c>
      <c r="G15" s="9">
        <f>G8*2+B65</f>
        <v>2280</v>
      </c>
      <c r="H15" s="10">
        <f t="shared" si="2"/>
        <v>6575.5199999999995</v>
      </c>
      <c r="I15" s="9">
        <f>I8+I8+120</f>
        <v>2346</v>
      </c>
      <c r="J15" s="10">
        <f t="shared" si="3"/>
        <v>6765.8639999999996</v>
      </c>
      <c r="K15" s="9">
        <f>K8+K8+120</f>
        <v>2406</v>
      </c>
      <c r="L15" s="10">
        <f t="shared" si="4"/>
        <v>6938.9039999999995</v>
      </c>
      <c r="M15" s="9">
        <f>M8+M8+120</f>
        <v>3994</v>
      </c>
      <c r="N15" s="10">
        <f t="shared" si="4"/>
        <v>11518.696</v>
      </c>
    </row>
    <row r="16" spans="1:16">
      <c r="A16" s="89" t="s">
        <v>17</v>
      </c>
      <c r="B16" s="8" t="s">
        <v>49</v>
      </c>
      <c r="C16" s="9">
        <f>885+50+60+84+40+38+117+42+165+194</f>
        <v>1675</v>
      </c>
      <c r="D16" s="10">
        <f t="shared" si="0"/>
        <v>4830.7</v>
      </c>
      <c r="E16" s="9">
        <f>860+50+50+60+84+40+38+117+42+165+194</f>
        <v>1700</v>
      </c>
      <c r="F16" s="10">
        <f t="shared" si="1"/>
        <v>4902.8</v>
      </c>
      <c r="G16" s="9">
        <f>855+30+60+84+40+38+117+42+165+194</f>
        <v>1625</v>
      </c>
      <c r="H16" s="10">
        <f t="shared" si="2"/>
        <v>4686.5</v>
      </c>
      <c r="I16" s="9">
        <f>867+50+60+84+40+38+117+42+165+194</f>
        <v>1657</v>
      </c>
      <c r="J16" s="10">
        <f t="shared" si="3"/>
        <v>4778.7879999999996</v>
      </c>
      <c r="K16" s="9">
        <f>917+30+60+84+40+38+117+42+165+194</f>
        <v>1687</v>
      </c>
      <c r="L16" s="10">
        <f t="shared" si="4"/>
        <v>4865.308</v>
      </c>
      <c r="M16" s="9">
        <f>C16-150+760+50+60+84+40+38</f>
        <v>2557</v>
      </c>
      <c r="N16" s="10">
        <f t="shared" si="4"/>
        <v>7374.3879999999999</v>
      </c>
    </row>
    <row r="17" spans="1:14">
      <c r="A17" s="90"/>
      <c r="B17" s="8" t="s">
        <v>50</v>
      </c>
      <c r="C17" s="9">
        <f>1231+100+60+84+40+38+117+42+165+194</f>
        <v>2071</v>
      </c>
      <c r="D17" s="10">
        <f t="shared" si="0"/>
        <v>5972.7640000000001</v>
      </c>
      <c r="E17" s="9">
        <f>1156+50+50+100+60+84+40+38+117+42+165+194</f>
        <v>2096</v>
      </c>
      <c r="F17" s="10">
        <f t="shared" si="1"/>
        <v>6044.8639999999996</v>
      </c>
      <c r="G17" s="9">
        <f>1151+50+65+60+84+40+38+117+42+165+194</f>
        <v>2006</v>
      </c>
      <c r="H17" s="10">
        <f t="shared" si="2"/>
        <v>5785.3040000000001</v>
      </c>
      <c r="I17" s="9">
        <f>1176+50+100+60+84+40+38+117+42+165+194</f>
        <v>2066</v>
      </c>
      <c r="J17" s="10">
        <f t="shared" si="3"/>
        <v>5958.3440000000001</v>
      </c>
      <c r="K17" s="9">
        <f>1276+50+65+60+84+40+38+117+42+165+194</f>
        <v>2131</v>
      </c>
      <c r="L17" s="10">
        <f t="shared" si="4"/>
        <v>6145.8040000000001</v>
      </c>
      <c r="M17" s="9">
        <f>C17-300+1520+100+60+84+40+38</f>
        <v>3613</v>
      </c>
      <c r="N17" s="10">
        <f t="shared" si="4"/>
        <v>10419.892</v>
      </c>
    </row>
    <row r="18" spans="1:14">
      <c r="A18" s="89" t="s">
        <v>18</v>
      </c>
      <c r="B18" s="8" t="s">
        <v>49</v>
      </c>
      <c r="C18" s="9">
        <f>943+50+151+153+206+388</f>
        <v>1891</v>
      </c>
      <c r="D18" s="10">
        <f t="shared" si="0"/>
        <v>5453.6440000000002</v>
      </c>
      <c r="E18" s="9">
        <f>918+50+50+151+153+206+388</f>
        <v>1916</v>
      </c>
      <c r="F18" s="10">
        <f t="shared" si="1"/>
        <v>5525.7439999999997</v>
      </c>
      <c r="G18" s="9">
        <f>913+30+151+153+206+388</f>
        <v>1841</v>
      </c>
      <c r="H18" s="10">
        <f t="shared" si="2"/>
        <v>5309.4439999999995</v>
      </c>
      <c r="I18" s="9">
        <f>926+50+151+153+206+388</f>
        <v>1874</v>
      </c>
      <c r="J18" s="10">
        <f t="shared" si="3"/>
        <v>5404.616</v>
      </c>
      <c r="K18" s="9">
        <f>976+30+151+117+153+206+388</f>
        <v>2021</v>
      </c>
      <c r="L18" s="10">
        <f t="shared" si="4"/>
        <v>5828.5639999999994</v>
      </c>
      <c r="M18" s="9">
        <f>C18-150+760+50+151</f>
        <v>2702</v>
      </c>
      <c r="N18" s="10">
        <f t="shared" si="4"/>
        <v>7792.5679999999993</v>
      </c>
    </row>
    <row r="19" spans="1:14">
      <c r="A19" s="90"/>
      <c r="B19" s="8" t="s">
        <v>50</v>
      </c>
      <c r="C19" s="9">
        <f>1289+100+151+153+206+388</f>
        <v>2287</v>
      </c>
      <c r="D19" s="10">
        <f t="shared" si="0"/>
        <v>6595.7079999999996</v>
      </c>
      <c r="E19" s="9">
        <f>1214+50+50+100+151+153+206+388</f>
        <v>2312</v>
      </c>
      <c r="F19" s="10">
        <f t="shared" si="1"/>
        <v>6667.808</v>
      </c>
      <c r="G19" s="9">
        <f>1209+50+65+151+153+206+388</f>
        <v>2222</v>
      </c>
      <c r="H19" s="10">
        <f t="shared" si="2"/>
        <v>6408.2479999999996</v>
      </c>
      <c r="I19" s="9">
        <f>1222+50+100+151+153+206+388</f>
        <v>2270</v>
      </c>
      <c r="J19" s="10">
        <f t="shared" si="3"/>
        <v>6546.6799999999994</v>
      </c>
      <c r="K19" s="9">
        <f>1322+50+65+151+153+206+388</f>
        <v>2335</v>
      </c>
      <c r="L19" s="10">
        <f t="shared" si="4"/>
        <v>6734.1399999999994</v>
      </c>
      <c r="M19" s="9">
        <f>C19-300+1520+100+151</f>
        <v>3758</v>
      </c>
      <c r="N19" s="10">
        <f t="shared" si="4"/>
        <v>10838.072</v>
      </c>
    </row>
    <row r="20" spans="1:14">
      <c r="A20" s="89" t="s">
        <v>22</v>
      </c>
      <c r="B20" s="8" t="s">
        <v>49</v>
      </c>
      <c r="C20" s="9">
        <f>C12+B46+B65</f>
        <v>2452</v>
      </c>
      <c r="D20" s="10">
        <f t="shared" si="0"/>
        <v>7071.5679999999993</v>
      </c>
      <c r="E20" s="9">
        <f>E12+B46+B65</f>
        <v>2477</v>
      </c>
      <c r="F20" s="10">
        <f t="shared" si="1"/>
        <v>7143.6679999999997</v>
      </c>
      <c r="G20" s="9">
        <f>G12+B46+B65</f>
        <v>2402</v>
      </c>
      <c r="H20" s="10">
        <f t="shared" si="2"/>
        <v>6927.3679999999995</v>
      </c>
      <c r="I20" s="9">
        <f>I12+B46+B65</f>
        <v>2435</v>
      </c>
      <c r="J20" s="10">
        <f t="shared" si="3"/>
        <v>7022.54</v>
      </c>
      <c r="K20" s="9">
        <f>K12+B46+B65</f>
        <v>2455</v>
      </c>
      <c r="L20" s="10">
        <f t="shared" si="4"/>
        <v>7080.2199999999993</v>
      </c>
      <c r="M20" s="9">
        <f>M12+B46+B65</f>
        <v>3149</v>
      </c>
      <c r="N20" s="10">
        <f t="shared" si="4"/>
        <v>9081.7160000000003</v>
      </c>
    </row>
    <row r="21" spans="1:14">
      <c r="A21" s="90"/>
      <c r="B21" s="8" t="s">
        <v>50</v>
      </c>
      <c r="C21" s="9">
        <f>C12*2+B65</f>
        <v>3052</v>
      </c>
      <c r="D21" s="10">
        <f t="shared" si="0"/>
        <v>8801.9679999999989</v>
      </c>
      <c r="E21" s="9">
        <f>E12+E12+B65</f>
        <v>3102</v>
      </c>
      <c r="F21" s="10">
        <f t="shared" si="1"/>
        <v>8946.1679999999997</v>
      </c>
      <c r="G21" s="9">
        <f>G12*2+B65</f>
        <v>2952</v>
      </c>
      <c r="H21" s="10">
        <f t="shared" si="2"/>
        <v>8513.5679999999993</v>
      </c>
      <c r="I21" s="9">
        <f>I12*2+B65</f>
        <v>3018</v>
      </c>
      <c r="J21" s="10">
        <f t="shared" si="3"/>
        <v>8703.9120000000003</v>
      </c>
      <c r="K21" s="9">
        <f>K12*2+B65</f>
        <v>3058</v>
      </c>
      <c r="L21" s="10">
        <f t="shared" si="4"/>
        <v>8819.271999999999</v>
      </c>
      <c r="M21" s="9">
        <f>M12*2+B65</f>
        <v>4446</v>
      </c>
      <c r="N21" s="10">
        <f t="shared" si="4"/>
        <v>12822.263999999999</v>
      </c>
    </row>
    <row r="22" spans="1:14">
      <c r="A22" s="89" t="s">
        <v>23</v>
      </c>
      <c r="B22" s="8" t="s">
        <v>49</v>
      </c>
      <c r="C22" s="9">
        <f>C10+B45+B45+B65+B65</f>
        <v>2843</v>
      </c>
      <c r="D22" s="10">
        <f t="shared" si="0"/>
        <v>8199.2119999999995</v>
      </c>
      <c r="E22" s="9">
        <f>E10++B45+B45++B65+B65</f>
        <v>2868</v>
      </c>
      <c r="F22" s="10">
        <f t="shared" si="1"/>
        <v>8271.3119999999999</v>
      </c>
      <c r="G22" s="9">
        <f>G10+B45+B45++B65+B65</f>
        <v>2793</v>
      </c>
      <c r="H22" s="10">
        <f t="shared" si="2"/>
        <v>8055.0119999999997</v>
      </c>
      <c r="I22" s="9">
        <f>I10+B45+B45+B65+B65</f>
        <v>2826</v>
      </c>
      <c r="J22" s="10">
        <f t="shared" si="3"/>
        <v>8150.1839999999993</v>
      </c>
      <c r="K22" s="9">
        <f>K10+B45+B45+B65+B65</f>
        <v>2856</v>
      </c>
      <c r="L22" s="10">
        <f t="shared" si="4"/>
        <v>8236.7039999999997</v>
      </c>
      <c r="M22" s="9">
        <f>M10+B45+B45+B65+B65</f>
        <v>3610</v>
      </c>
      <c r="N22" s="10">
        <f t="shared" si="4"/>
        <v>10411.24</v>
      </c>
    </row>
    <row r="23" spans="1:14">
      <c r="A23" s="90"/>
      <c r="B23" s="8" t="s">
        <v>50</v>
      </c>
      <c r="C23" s="9">
        <f>C10+B45+C10+B65*2</f>
        <v>3358</v>
      </c>
      <c r="D23" s="10">
        <f t="shared" si="0"/>
        <v>9684.4719999999998</v>
      </c>
      <c r="E23" s="9">
        <f>E10+B45+E10+B65*2</f>
        <v>3408</v>
      </c>
      <c r="F23" s="10">
        <f t="shared" si="1"/>
        <v>9828.6720000000005</v>
      </c>
      <c r="G23" s="9">
        <f>G10+B45+G10+B65*2</f>
        <v>3258</v>
      </c>
      <c r="H23" s="10">
        <f t="shared" si="2"/>
        <v>9396.0720000000001</v>
      </c>
      <c r="I23" s="9">
        <f>I10+B45+I10+B65*2</f>
        <v>3324</v>
      </c>
      <c r="J23" s="10">
        <f t="shared" si="3"/>
        <v>9586.4159999999993</v>
      </c>
      <c r="K23" s="9">
        <f>K10+B45+K10+B65*2</f>
        <v>3384</v>
      </c>
      <c r="L23" s="10">
        <f t="shared" si="4"/>
        <v>9759.4560000000001</v>
      </c>
      <c r="M23" s="9">
        <f>M10+B45+M10+B65*2</f>
        <v>4892</v>
      </c>
      <c r="N23" s="10">
        <f t="shared" si="4"/>
        <v>14108.528</v>
      </c>
    </row>
    <row r="24" spans="1:14">
      <c r="A24" s="89" t="s">
        <v>24</v>
      </c>
      <c r="B24" s="8" t="s">
        <v>49</v>
      </c>
      <c r="C24" s="9">
        <f>C16+B47+B65</f>
        <v>3001</v>
      </c>
      <c r="D24" s="10">
        <f t="shared" si="0"/>
        <v>8654.884</v>
      </c>
      <c r="E24" s="9">
        <f>E16+B47+B65</f>
        <v>3026</v>
      </c>
      <c r="F24" s="10">
        <f t="shared" si="1"/>
        <v>8726.9840000000004</v>
      </c>
      <c r="G24" s="9">
        <f>G16+B47+B65</f>
        <v>2951</v>
      </c>
      <c r="H24" s="10">
        <f t="shared" si="2"/>
        <v>8510.6839999999993</v>
      </c>
      <c r="I24" s="9">
        <f>I16+B47+B65</f>
        <v>2983</v>
      </c>
      <c r="J24" s="10">
        <f t="shared" si="3"/>
        <v>8602.9719999999998</v>
      </c>
      <c r="K24" s="9">
        <f>K16+B65+B47</f>
        <v>3013</v>
      </c>
      <c r="L24" s="10">
        <f t="shared" si="4"/>
        <v>8689.4920000000002</v>
      </c>
      <c r="M24" s="9">
        <f>M16+B47+B65</f>
        <v>3883</v>
      </c>
      <c r="N24" s="10">
        <f t="shared" si="4"/>
        <v>11198.572</v>
      </c>
    </row>
    <row r="25" spans="1:14">
      <c r="A25" s="90"/>
      <c r="B25" s="8" t="s">
        <v>50</v>
      </c>
      <c r="C25" s="9">
        <f>C16+C16+B65</f>
        <v>3470</v>
      </c>
      <c r="D25" s="10">
        <f>2.884*C25</f>
        <v>10007.48</v>
      </c>
      <c r="E25" s="9">
        <f>E16+E16+B65</f>
        <v>3520</v>
      </c>
      <c r="F25" s="10">
        <f t="shared" si="1"/>
        <v>10151.68</v>
      </c>
      <c r="G25" s="9">
        <f>G16+G16+B65</f>
        <v>3370</v>
      </c>
      <c r="H25" s="10">
        <f t="shared" si="2"/>
        <v>9719.08</v>
      </c>
      <c r="I25" s="9">
        <f>I16+I16+B65</f>
        <v>3434</v>
      </c>
      <c r="J25" s="10">
        <f t="shared" si="3"/>
        <v>9903.655999999999</v>
      </c>
      <c r="K25" s="9">
        <f>K16+K16+B65</f>
        <v>3494</v>
      </c>
      <c r="L25" s="10">
        <f t="shared" si="4"/>
        <v>10076.696</v>
      </c>
      <c r="M25" s="9">
        <f>M16+M16+B65</f>
        <v>5234</v>
      </c>
      <c r="N25" s="10">
        <f t="shared" si="4"/>
        <v>15094.856</v>
      </c>
    </row>
    <row r="26" spans="1:14" s="30" customFormat="1">
      <c r="A26" s="53" t="s">
        <v>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31"/>
    </row>
    <row r="27" spans="1:14" s="30" customFormat="1">
      <c r="A27" s="94" t="s">
        <v>67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31"/>
    </row>
    <row r="28" spans="1:14" s="36" customFormat="1">
      <c r="A28" s="62" t="s">
        <v>2</v>
      </c>
      <c r="B28" s="62"/>
      <c r="C28" s="62"/>
      <c r="D28" s="62"/>
      <c r="E28" s="62"/>
      <c r="F28" s="62"/>
      <c r="G28" s="62"/>
      <c r="H28" s="62"/>
      <c r="I28" s="62"/>
      <c r="J28" s="62"/>
      <c r="K28" s="30"/>
      <c r="M28" s="33"/>
    </row>
    <row r="29" spans="1:14" s="21" customFormat="1">
      <c r="A29" s="23"/>
      <c r="B29" s="2" t="s">
        <v>3</v>
      </c>
      <c r="C29" s="52" t="s">
        <v>0</v>
      </c>
      <c r="D29" s="52"/>
      <c r="E29" s="52" t="s">
        <v>1</v>
      </c>
      <c r="F29" s="52"/>
      <c r="G29" s="52" t="s">
        <v>4</v>
      </c>
      <c r="H29" s="52"/>
      <c r="I29" s="52" t="s">
        <v>5</v>
      </c>
      <c r="J29" s="52"/>
      <c r="K29" s="22"/>
      <c r="M29" s="22"/>
    </row>
    <row r="30" spans="1:14" s="21" customFormat="1">
      <c r="A30" s="23"/>
      <c r="B30" s="23"/>
      <c r="C30" s="2" t="s">
        <v>7</v>
      </c>
      <c r="D30" s="2" t="s">
        <v>8</v>
      </c>
      <c r="E30" s="2" t="s">
        <v>7</v>
      </c>
      <c r="F30" s="2" t="s">
        <v>8</v>
      </c>
      <c r="G30" s="2" t="s">
        <v>7</v>
      </c>
      <c r="H30" s="2" t="s">
        <v>8</v>
      </c>
      <c r="I30" s="2" t="s">
        <v>7</v>
      </c>
      <c r="J30" s="2" t="s">
        <v>8</v>
      </c>
      <c r="K30" s="22"/>
      <c r="M30" s="22"/>
    </row>
    <row r="31" spans="1:14" s="21" customFormat="1">
      <c r="A31" s="52" t="s">
        <v>39</v>
      </c>
      <c r="B31" s="2" t="s">
        <v>49</v>
      </c>
      <c r="C31" s="23">
        <f>G43+382+B65</f>
        <v>1123</v>
      </c>
      <c r="D31" s="41">
        <f>(2.75*0.91)*C31</f>
        <v>2810.3074999999999</v>
      </c>
      <c r="E31" s="41">
        <f>G43+234+B65</f>
        <v>975</v>
      </c>
      <c r="F31" s="41">
        <f xml:space="preserve"> (2.75*0.91)*E31</f>
        <v>2439.9375</v>
      </c>
      <c r="G31" s="1">
        <f>G43+348+B65+50</f>
        <v>1139</v>
      </c>
      <c r="H31" s="23">
        <f>(2.75*0.91)*G31</f>
        <v>2850.3474999999999</v>
      </c>
      <c r="I31" s="1">
        <f>G43+356+B65</f>
        <v>1097</v>
      </c>
      <c r="J31" s="23">
        <f>(2.75*0.91)*I31</f>
        <v>2745.2424999999998</v>
      </c>
      <c r="K31" s="22"/>
      <c r="M31" s="22"/>
    </row>
    <row r="32" spans="1:14" s="21" customFormat="1">
      <c r="A32" s="52"/>
      <c r="B32" s="2" t="s">
        <v>50</v>
      </c>
      <c r="C32" s="23">
        <f>G43+382*2+B65*2</f>
        <v>1625</v>
      </c>
      <c r="D32" s="41">
        <f t="shared" ref="D32:D38" si="5">(2.75*0.91)*C32</f>
        <v>4066.5625</v>
      </c>
      <c r="E32" s="41">
        <f>G43+234*2+B65*2</f>
        <v>1329</v>
      </c>
      <c r="F32" s="41">
        <f t="shared" ref="F32:F38" si="6" xml:space="preserve"> (2.75*0.91)*E32</f>
        <v>3325.8224999999998</v>
      </c>
      <c r="G32" s="1">
        <f>G43+348*2+B65*2+50</f>
        <v>1607</v>
      </c>
      <c r="H32" s="23">
        <f t="shared" ref="H32:H38" si="7">(2.75*0.91)*G32</f>
        <v>4021.5174999999999</v>
      </c>
      <c r="I32" s="1">
        <f>G43+356*2+B65*2</f>
        <v>1573</v>
      </c>
      <c r="J32" s="23">
        <f t="shared" ref="J32:J38" si="8">(2.75*0.91)*I32</f>
        <v>3936.4324999999999</v>
      </c>
      <c r="K32" s="22"/>
      <c r="M32" s="22"/>
    </row>
    <row r="33" spans="1:16" s="21" customFormat="1">
      <c r="A33" s="52" t="s">
        <v>11</v>
      </c>
      <c r="B33" s="2" t="s">
        <v>49</v>
      </c>
      <c r="C33" s="1">
        <f>G44+382+B65</f>
        <v>1284</v>
      </c>
      <c r="D33" s="41">
        <f t="shared" si="5"/>
        <v>3213.21</v>
      </c>
      <c r="E33" s="1">
        <f>G44+234+B65</f>
        <v>1136</v>
      </c>
      <c r="F33" s="41">
        <f t="shared" si="6"/>
        <v>2842.84</v>
      </c>
      <c r="G33" s="1">
        <f>G44+348+B65+50</f>
        <v>1300</v>
      </c>
      <c r="H33" s="23">
        <f t="shared" si="7"/>
        <v>3253.25</v>
      </c>
      <c r="I33" s="1">
        <f>G44+356+B65</f>
        <v>1258</v>
      </c>
      <c r="J33" s="23">
        <f t="shared" si="8"/>
        <v>3148.145</v>
      </c>
      <c r="K33" s="22"/>
      <c r="M33" s="22"/>
      <c r="O33" t="s">
        <v>64</v>
      </c>
    </row>
    <row r="34" spans="1:16" s="21" customFormat="1">
      <c r="A34" s="52"/>
      <c r="B34" s="2" t="s">
        <v>50</v>
      </c>
      <c r="C34" s="1">
        <f>G44+382*2+B65*2</f>
        <v>1786</v>
      </c>
      <c r="D34" s="41">
        <f t="shared" si="5"/>
        <v>4469.4650000000001</v>
      </c>
      <c r="E34" s="1">
        <f>G44+234*2+B65*2</f>
        <v>1490</v>
      </c>
      <c r="F34" s="41">
        <f t="shared" si="6"/>
        <v>3728.7249999999999</v>
      </c>
      <c r="G34" s="1">
        <f>G44+348*2+B65*2+50</f>
        <v>1768</v>
      </c>
      <c r="H34" s="23">
        <f t="shared" si="7"/>
        <v>4424.42</v>
      </c>
      <c r="I34" s="1">
        <f>G44+356*2+B65*2</f>
        <v>1734</v>
      </c>
      <c r="J34" s="23">
        <f t="shared" si="8"/>
        <v>4339.335</v>
      </c>
      <c r="K34" s="22"/>
      <c r="M34" s="22"/>
    </row>
    <row r="35" spans="1:16" s="21" customFormat="1">
      <c r="A35" s="52" t="s">
        <v>14</v>
      </c>
      <c r="B35" s="2" t="s">
        <v>49</v>
      </c>
      <c r="C35" s="1">
        <f>G45+382+B65</f>
        <v>1581</v>
      </c>
      <c r="D35" s="41">
        <f t="shared" si="5"/>
        <v>3956.4524999999999</v>
      </c>
      <c r="E35" s="1">
        <f>G45+234+B65</f>
        <v>1433</v>
      </c>
      <c r="F35" s="41">
        <f t="shared" si="6"/>
        <v>3586.0825</v>
      </c>
      <c r="G35" s="1">
        <f>G45+348+B65+50</f>
        <v>1597</v>
      </c>
      <c r="H35" s="23">
        <f t="shared" si="7"/>
        <v>3996.4924999999998</v>
      </c>
      <c r="I35" s="1">
        <f>G45+356+B65</f>
        <v>1555</v>
      </c>
      <c r="J35" s="23">
        <f t="shared" si="8"/>
        <v>3891.3874999999998</v>
      </c>
      <c r="K35" s="22"/>
      <c r="M35" s="22"/>
    </row>
    <row r="36" spans="1:16" s="21" customFormat="1">
      <c r="A36" s="52"/>
      <c r="B36" s="2" t="s">
        <v>50</v>
      </c>
      <c r="C36" s="1">
        <f>G46+382*2+B65*2</f>
        <v>2498</v>
      </c>
      <c r="D36" s="41">
        <f t="shared" si="5"/>
        <v>6251.2449999999999</v>
      </c>
      <c r="E36" s="1">
        <f>G45+234*2+B65*2</f>
        <v>1787</v>
      </c>
      <c r="F36" s="41">
        <f t="shared" si="6"/>
        <v>4471.9674999999997</v>
      </c>
      <c r="G36" s="1">
        <f>G45+348*2+B65*2+50</f>
        <v>2065</v>
      </c>
      <c r="H36" s="23">
        <f t="shared" si="7"/>
        <v>5167.6624999999995</v>
      </c>
      <c r="I36" s="1">
        <f>G45+356*2+B65*2</f>
        <v>2031</v>
      </c>
      <c r="J36" s="23">
        <f t="shared" si="8"/>
        <v>5082.5775000000003</v>
      </c>
      <c r="K36" s="22"/>
      <c r="L36" s="34"/>
      <c r="M36" s="35"/>
      <c r="N36" s="34"/>
    </row>
    <row r="37" spans="1:16" s="29" customFormat="1">
      <c r="A37" s="52" t="s">
        <v>16</v>
      </c>
      <c r="B37" s="2" t="s">
        <v>49</v>
      </c>
      <c r="C37" s="40">
        <f>G46+382+B65</f>
        <v>1996</v>
      </c>
      <c r="D37" s="41">
        <f t="shared" si="5"/>
        <v>4994.99</v>
      </c>
      <c r="E37" s="40">
        <f>G46+234+B65</f>
        <v>1848</v>
      </c>
      <c r="F37" s="41">
        <f t="shared" si="6"/>
        <v>4624.62</v>
      </c>
      <c r="G37" s="40">
        <f>G46+348+B65+50</f>
        <v>2012</v>
      </c>
      <c r="H37" s="23">
        <f t="shared" si="7"/>
        <v>5035.03</v>
      </c>
      <c r="I37" s="40">
        <f>G46+356+B65</f>
        <v>1970</v>
      </c>
      <c r="J37" s="23">
        <f t="shared" si="8"/>
        <v>4929.9250000000002</v>
      </c>
      <c r="K37" s="33"/>
      <c r="L37" s="32"/>
      <c r="M37" s="34"/>
      <c r="N37" s="30"/>
    </row>
    <row r="38" spans="1:16" ht="12.75" customHeight="1">
      <c r="A38" s="52"/>
      <c r="B38" s="2" t="s">
        <v>50</v>
      </c>
      <c r="C38" s="40">
        <f>G46+382*2+B65*2</f>
        <v>2498</v>
      </c>
      <c r="D38" s="41">
        <f t="shared" si="5"/>
        <v>6251.2449999999999</v>
      </c>
      <c r="E38" s="40">
        <f>G46+234*2+B65*2</f>
        <v>2202</v>
      </c>
      <c r="F38" s="41">
        <f t="shared" si="6"/>
        <v>5510.5050000000001</v>
      </c>
      <c r="G38" s="1">
        <f>G46+348*2+B65*2+50</f>
        <v>2480</v>
      </c>
      <c r="H38" s="23">
        <f t="shared" si="7"/>
        <v>6206.2</v>
      </c>
      <c r="I38" s="1">
        <f>G46+356*2+B65*2</f>
        <v>2446</v>
      </c>
      <c r="J38" s="23">
        <f t="shared" si="8"/>
        <v>6121.1149999999998</v>
      </c>
      <c r="K38" s="22"/>
      <c r="L38" s="14"/>
      <c r="M38" s="14"/>
      <c r="N38" s="14"/>
    </row>
    <row r="39" spans="1:16" ht="12.75" customHeight="1">
      <c r="A39" s="20"/>
      <c r="B39" s="17"/>
      <c r="C39" s="34"/>
      <c r="D39" s="34"/>
      <c r="E39" s="34"/>
      <c r="F39" s="34"/>
      <c r="G39" s="34"/>
      <c r="H39" s="34"/>
      <c r="I39" s="34"/>
      <c r="J39" s="34"/>
      <c r="K39" s="22"/>
      <c r="L39" s="14"/>
      <c r="M39" s="14"/>
      <c r="N39" s="14"/>
    </row>
    <row r="40" spans="1:16" s="29" customFormat="1" ht="13.5" customHeight="1">
      <c r="A40" s="88" t="s">
        <v>25</v>
      </c>
      <c r="B40" s="88"/>
      <c r="C40" s="88"/>
      <c r="D40" s="88"/>
      <c r="E40" s="37"/>
      <c r="F40" s="88" t="s">
        <v>26</v>
      </c>
      <c r="G40" s="88"/>
      <c r="H40" s="88"/>
      <c r="I40" s="88"/>
      <c r="J40" s="32"/>
      <c r="K40" s="88" t="s">
        <v>58</v>
      </c>
      <c r="L40" s="88"/>
      <c r="M40" s="88"/>
      <c r="O40"/>
    </row>
    <row r="41" spans="1:16" s="6" customFormat="1" ht="30">
      <c r="A41" s="86" t="s">
        <v>47</v>
      </c>
      <c r="B41" s="84" t="s">
        <v>19</v>
      </c>
      <c r="C41" s="85"/>
      <c r="D41" s="16" t="s">
        <v>20</v>
      </c>
      <c r="E41"/>
      <c r="F41" s="86" t="s">
        <v>47</v>
      </c>
      <c r="G41" s="84" t="s">
        <v>33</v>
      </c>
      <c r="H41" s="85"/>
      <c r="I41" s="16" t="s">
        <v>34</v>
      </c>
      <c r="J41"/>
      <c r="K41" s="63" t="s">
        <v>47</v>
      </c>
      <c r="L41" s="58" t="s">
        <v>20</v>
      </c>
      <c r="M41" s="58"/>
      <c r="N41" s="50"/>
      <c r="O41"/>
    </row>
    <row r="42" spans="1:16" ht="30">
      <c r="A42" s="87"/>
      <c r="B42" s="3" t="s">
        <v>27</v>
      </c>
      <c r="C42" s="3" t="s">
        <v>35</v>
      </c>
      <c r="D42" s="3" t="s">
        <v>35</v>
      </c>
      <c r="F42" s="87"/>
      <c r="G42" s="3" t="s">
        <v>27</v>
      </c>
      <c r="H42" s="3" t="s">
        <v>35</v>
      </c>
      <c r="I42" s="3" t="s">
        <v>35</v>
      </c>
      <c r="J42"/>
      <c r="K42" s="63"/>
      <c r="L42" s="49" t="s">
        <v>27</v>
      </c>
      <c r="M42" s="49" t="s">
        <v>35</v>
      </c>
      <c r="N42" s="77"/>
    </row>
    <row r="43" spans="1:16">
      <c r="A43" s="2">
        <v>3</v>
      </c>
      <c r="B43" s="1">
        <v>230</v>
      </c>
      <c r="C43" s="7">
        <f>B43*2.884</f>
        <v>663.31999999999994</v>
      </c>
      <c r="D43" s="7">
        <f>B43*5.796</f>
        <v>1333.0800000000002</v>
      </c>
      <c r="F43" s="2">
        <v>10</v>
      </c>
      <c r="G43" s="1">
        <v>621</v>
      </c>
      <c r="H43" s="7">
        <f>G43*(2.75*0.91)</f>
        <v>1554.0525</v>
      </c>
      <c r="I43" s="7">
        <f>G43*(2.75*1.82)</f>
        <v>3108.105</v>
      </c>
      <c r="J43"/>
      <c r="K43" s="2">
        <v>16</v>
      </c>
      <c r="L43" s="1">
        <v>1329</v>
      </c>
      <c r="M43" s="7">
        <f>L43*2.8*2.07</f>
        <v>7702.8839999999991</v>
      </c>
      <c r="N43" s="77"/>
    </row>
    <row r="44" spans="1:16">
      <c r="A44" s="2">
        <v>6</v>
      </c>
      <c r="B44" s="1">
        <v>602</v>
      </c>
      <c r="C44" s="7">
        <f t="shared" ref="C44:C48" si="9">B44*2.884</f>
        <v>1736.1679999999999</v>
      </c>
      <c r="D44" s="7">
        <f t="shared" ref="D44:D48" si="10">B44*5.796</f>
        <v>3489.192</v>
      </c>
      <c r="F44" s="2">
        <v>16</v>
      </c>
      <c r="G44" s="1">
        <v>782</v>
      </c>
      <c r="H44" s="7">
        <f t="shared" ref="H44:H46" si="11">G44*(2.75*0.91)</f>
        <v>1956.9549999999999</v>
      </c>
      <c r="I44" s="7">
        <f t="shared" ref="I44:I46" si="12">G44*(2.75*1.82)</f>
        <v>3913.91</v>
      </c>
      <c r="J44"/>
      <c r="K44" s="59" t="s">
        <v>62</v>
      </c>
      <c r="L44" s="60"/>
      <c r="M44" s="60"/>
      <c r="N44" s="60"/>
      <c r="O44" s="60"/>
      <c r="P44" s="61"/>
    </row>
    <row r="45" spans="1:16">
      <c r="A45" s="2">
        <v>8</v>
      </c>
      <c r="B45" s="1">
        <v>696</v>
      </c>
      <c r="C45" s="7">
        <f t="shared" si="9"/>
        <v>2007.2639999999999</v>
      </c>
      <c r="D45" s="7">
        <f t="shared" si="10"/>
        <v>4034.0160000000001</v>
      </c>
      <c r="F45" s="2">
        <v>18</v>
      </c>
      <c r="G45" s="1">
        <v>1079</v>
      </c>
      <c r="H45" s="7">
        <f t="shared" si="11"/>
        <v>2700.1974999999998</v>
      </c>
      <c r="I45" s="7">
        <f t="shared" si="12"/>
        <v>5400.3949999999995</v>
      </c>
      <c r="J45"/>
      <c r="K45" s="64" t="s">
        <v>63</v>
      </c>
      <c r="L45" s="65"/>
      <c r="M45" s="58" t="s">
        <v>66</v>
      </c>
      <c r="N45" s="58"/>
      <c r="O45" s="58" t="s">
        <v>1</v>
      </c>
      <c r="P45" s="58"/>
    </row>
    <row r="46" spans="1:16">
      <c r="A46" s="2">
        <v>10</v>
      </c>
      <c r="B46" s="1">
        <v>866</v>
      </c>
      <c r="C46" s="7">
        <f t="shared" si="9"/>
        <v>2497.5439999999999</v>
      </c>
      <c r="D46" s="7">
        <f t="shared" si="10"/>
        <v>5019.3360000000002</v>
      </c>
      <c r="F46" s="2">
        <v>25</v>
      </c>
      <c r="G46" s="1">
        <v>1494</v>
      </c>
      <c r="H46" s="7">
        <f t="shared" si="11"/>
        <v>3738.7350000000001</v>
      </c>
      <c r="I46" s="7">
        <f t="shared" si="12"/>
        <v>7477.47</v>
      </c>
      <c r="J46"/>
      <c r="K46" s="48" t="s">
        <v>9</v>
      </c>
      <c r="L46" s="48" t="s">
        <v>8</v>
      </c>
      <c r="M46" s="48" t="s">
        <v>9</v>
      </c>
      <c r="N46" s="48" t="s">
        <v>8</v>
      </c>
      <c r="O46" s="48" t="s">
        <v>9</v>
      </c>
      <c r="P46" s="51" t="s">
        <v>8</v>
      </c>
    </row>
    <row r="47" spans="1:16" ht="16.5" customHeight="1">
      <c r="A47" s="2">
        <v>16</v>
      </c>
      <c r="B47" s="1">
        <v>1206</v>
      </c>
      <c r="C47" s="7">
        <f>B47*2.884</f>
        <v>3478.1039999999998</v>
      </c>
      <c r="D47" s="7">
        <f t="shared" si="10"/>
        <v>6989.9760000000006</v>
      </c>
      <c r="E47" s="12"/>
      <c r="F47" s="62" t="s">
        <v>59</v>
      </c>
      <c r="G47" s="62"/>
      <c r="H47" s="62"/>
      <c r="I47" s="62"/>
      <c r="J47" s="18"/>
      <c r="K47" s="1">
        <f>1157-626/2+L43</f>
        <v>2173</v>
      </c>
      <c r="L47" s="7">
        <f t="shared" ref="L47" si="13">2.884*K47</f>
        <v>6266.9319999999998</v>
      </c>
      <c r="M47" s="1">
        <f>1182-626/2+L43</f>
        <v>2198</v>
      </c>
      <c r="N47" s="7">
        <f t="shared" ref="N47" si="14">M47*2.884</f>
        <v>6339.0320000000002</v>
      </c>
      <c r="O47" s="1">
        <f>1107-662/2+L43</f>
        <v>2105</v>
      </c>
      <c r="P47" s="7">
        <f t="shared" ref="P47" si="15">O47*2.884</f>
        <v>6070.82</v>
      </c>
    </row>
    <row r="48" spans="1:16" ht="14.25" customHeight="1">
      <c r="A48" s="2">
        <v>18</v>
      </c>
      <c r="B48" s="1">
        <v>1312</v>
      </c>
      <c r="C48" s="7">
        <f t="shared" si="9"/>
        <v>3783.808</v>
      </c>
      <c r="D48" s="7">
        <f t="shared" si="10"/>
        <v>7604.3520000000008</v>
      </c>
      <c r="E48" s="13"/>
      <c r="F48" s="63" t="s">
        <v>47</v>
      </c>
      <c r="G48" s="58" t="s">
        <v>19</v>
      </c>
      <c r="H48" s="58"/>
      <c r="I48" s="5" t="s">
        <v>20</v>
      </c>
      <c r="J48" s="19"/>
    </row>
    <row r="49" spans="1:20" ht="14.25" customHeight="1">
      <c r="A49" s="17"/>
      <c r="B49" s="14"/>
      <c r="C49" s="39"/>
      <c r="D49" s="39"/>
      <c r="E49" s="13"/>
      <c r="F49" s="63"/>
      <c r="G49" s="49" t="s">
        <v>27</v>
      </c>
      <c r="H49" s="49" t="s">
        <v>35</v>
      </c>
      <c r="I49" s="49" t="s">
        <v>35</v>
      </c>
      <c r="J49" s="19"/>
    </row>
    <row r="50" spans="1:20" ht="14.25" customHeight="1">
      <c r="A50" s="17"/>
      <c r="B50" s="14"/>
      <c r="C50" s="39"/>
      <c r="D50" s="39"/>
      <c r="E50" s="13"/>
      <c r="F50" s="2">
        <v>16</v>
      </c>
      <c r="G50" s="1">
        <v>1380</v>
      </c>
      <c r="H50" s="1">
        <f>2.8*1.03*G50</f>
        <v>3979.92</v>
      </c>
      <c r="I50" s="1">
        <f>G50* (2.8*2.07)</f>
        <v>7998.48</v>
      </c>
      <c r="J50" s="19"/>
    </row>
    <row r="51" spans="1:20" ht="14.25" customHeight="1">
      <c r="A51" s="17" t="s">
        <v>56</v>
      </c>
      <c r="B51" s="14"/>
      <c r="C51" s="39"/>
      <c r="D51" s="39"/>
      <c r="E51" s="13"/>
      <c r="F51" s="17"/>
      <c r="G51" s="14"/>
      <c r="H51" s="14"/>
      <c r="I51" s="14"/>
      <c r="J51" s="19"/>
      <c r="K51" s="13"/>
      <c r="L51" s="13"/>
    </row>
    <row r="52" spans="1:20" ht="15" customHeight="1">
      <c r="A52" s="46" t="s">
        <v>36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20" ht="18.75" customHeight="1">
      <c r="A53" s="4" t="s">
        <v>37</v>
      </c>
      <c r="B53" s="4" t="s">
        <v>51</v>
      </c>
      <c r="C53" s="14"/>
      <c r="F53" s="13"/>
      <c r="G53" s="91" t="s">
        <v>38</v>
      </c>
      <c r="H53" s="91"/>
      <c r="I53" s="4" t="s">
        <v>51</v>
      </c>
    </row>
    <row r="54" spans="1:20" ht="19.5" customHeight="1">
      <c r="A54" s="1" t="s">
        <v>28</v>
      </c>
      <c r="B54" s="1">
        <v>30</v>
      </c>
      <c r="C54" s="14"/>
      <c r="F54" s="15"/>
      <c r="G54" s="57" t="s">
        <v>28</v>
      </c>
      <c r="H54" s="57"/>
      <c r="I54" s="1">
        <v>49</v>
      </c>
      <c r="N54" s="11"/>
    </row>
    <row r="55" spans="1:20">
      <c r="A55" s="1" t="s">
        <v>29</v>
      </c>
      <c r="B55" s="1">
        <v>40</v>
      </c>
      <c r="C55" s="14"/>
      <c r="G55" s="57" t="s">
        <v>31</v>
      </c>
      <c r="H55" s="57"/>
      <c r="I55" s="1">
        <v>130</v>
      </c>
      <c r="N55" s="11"/>
    </row>
    <row r="56" spans="1:20">
      <c r="A56" s="1" t="s">
        <v>30</v>
      </c>
      <c r="B56" s="1">
        <v>47</v>
      </c>
      <c r="C56" s="14"/>
      <c r="D56" s="14"/>
      <c r="H56"/>
      <c r="N56" s="11"/>
    </row>
    <row r="57" spans="1:20">
      <c r="A57" s="1" t="s">
        <v>31</v>
      </c>
      <c r="B57" s="1">
        <v>66</v>
      </c>
      <c r="C57" s="14"/>
      <c r="D57" s="14"/>
      <c r="H57"/>
      <c r="N57" s="11"/>
    </row>
    <row r="58" spans="1:20">
      <c r="A58" s="1" t="s">
        <v>32</v>
      </c>
      <c r="B58" s="1">
        <v>82</v>
      </c>
      <c r="C58" s="14"/>
      <c r="D58" s="14"/>
      <c r="H58"/>
      <c r="N58" s="11"/>
    </row>
    <row r="59" spans="1:20">
      <c r="A59" s="24" t="s">
        <v>40</v>
      </c>
      <c r="B59" s="24"/>
      <c r="C59" s="24"/>
      <c r="D59" s="25"/>
      <c r="E59" s="24"/>
      <c r="F59" s="24"/>
      <c r="G59" s="24"/>
      <c r="H59" s="14"/>
      <c r="I59" s="14"/>
      <c r="J59" s="14"/>
      <c r="K59" s="14"/>
      <c r="L59"/>
    </row>
    <row r="60" spans="1:20">
      <c r="A60" s="24" t="s">
        <v>54</v>
      </c>
      <c r="B60" s="24"/>
      <c r="C60" s="24"/>
      <c r="D60" s="25"/>
      <c r="E60" s="24"/>
      <c r="F60" s="24"/>
      <c r="G60" s="24"/>
      <c r="H60" s="14"/>
      <c r="I60" s="14"/>
      <c r="J60" s="14"/>
      <c r="K60" s="14"/>
      <c r="L60"/>
      <c r="O60" s="38"/>
      <c r="P60" s="38"/>
      <c r="Q60" s="38"/>
      <c r="R60" s="38"/>
      <c r="S60" s="38"/>
    </row>
    <row r="61" spans="1:20">
      <c r="A61" s="24" t="s">
        <v>41</v>
      </c>
      <c r="B61" s="24"/>
      <c r="C61" s="24"/>
      <c r="D61" s="25"/>
      <c r="E61" s="24"/>
      <c r="F61" s="24"/>
      <c r="G61" s="24"/>
      <c r="H61" s="14"/>
      <c r="I61" s="14"/>
      <c r="J61" s="14"/>
      <c r="K61" s="14"/>
      <c r="L61"/>
    </row>
    <row r="62" spans="1:20">
      <c r="A62" s="24" t="s">
        <v>42</v>
      </c>
      <c r="B62" s="24"/>
      <c r="C62" s="24"/>
      <c r="D62" s="25"/>
      <c r="E62" s="24"/>
      <c r="F62" s="24"/>
      <c r="G62" s="24"/>
      <c r="H62" s="14"/>
      <c r="I62" s="14"/>
      <c r="J62" s="14"/>
      <c r="K62" s="14"/>
      <c r="L62"/>
    </row>
    <row r="63" spans="1:20">
      <c r="A63" s="24" t="s">
        <v>55</v>
      </c>
      <c r="B63" s="24"/>
      <c r="C63" s="24"/>
      <c r="D63" s="25"/>
      <c r="E63" s="24"/>
      <c r="F63" s="24"/>
      <c r="G63" s="24"/>
      <c r="H63" s="14"/>
      <c r="I63" s="14"/>
      <c r="J63" s="14"/>
      <c r="K63" s="14"/>
      <c r="L63"/>
      <c r="T63" s="38"/>
    </row>
    <row r="64" spans="1:20">
      <c r="A64" s="24" t="s">
        <v>60</v>
      </c>
      <c r="B64" s="24"/>
      <c r="C64" s="24"/>
      <c r="D64" s="25"/>
      <c r="E64" s="24"/>
      <c r="F64" s="24"/>
      <c r="G64" s="24"/>
      <c r="H64" s="14"/>
      <c r="I64" s="14"/>
      <c r="J64" s="14"/>
      <c r="K64" s="14"/>
      <c r="L64"/>
    </row>
    <row r="65" spans="1:12">
      <c r="A65" s="24" t="s">
        <v>61</v>
      </c>
      <c r="B65" s="24">
        <v>120</v>
      </c>
      <c r="C65" s="24" t="s">
        <v>57</v>
      </c>
      <c r="D65" s="25"/>
      <c r="E65" s="25"/>
      <c r="F65" s="25" t="s">
        <v>43</v>
      </c>
      <c r="G65" s="24"/>
      <c r="H65" s="14"/>
      <c r="I65" s="14"/>
      <c r="J65" s="14"/>
      <c r="K65" s="14"/>
      <c r="L65"/>
    </row>
  </sheetData>
  <mergeCells count="50">
    <mergeCell ref="A41:A42"/>
    <mergeCell ref="A22:A23"/>
    <mergeCell ref="A24:A25"/>
    <mergeCell ref="A27:K27"/>
    <mergeCell ref="E29:F29"/>
    <mergeCell ref="K40:M40"/>
    <mergeCell ref="A28:J28"/>
    <mergeCell ref="A31:A32"/>
    <mergeCell ref="A33:A34"/>
    <mergeCell ref="A35:A36"/>
    <mergeCell ref="A37:A38"/>
    <mergeCell ref="L41:M41"/>
    <mergeCell ref="K41:K42"/>
    <mergeCell ref="N42:N43"/>
    <mergeCell ref="C2:D4"/>
    <mergeCell ref="E2:F4"/>
    <mergeCell ref="G2:H4"/>
    <mergeCell ref="I2:J4"/>
    <mergeCell ref="K2:L4"/>
    <mergeCell ref="B41:C41"/>
    <mergeCell ref="G41:H41"/>
    <mergeCell ref="F41:F42"/>
    <mergeCell ref="F40:I40"/>
    <mergeCell ref="A40:D40"/>
    <mergeCell ref="A16:A17"/>
    <mergeCell ref="A18:A19"/>
    <mergeCell ref="G54:H54"/>
    <mergeCell ref="G55:H55"/>
    <mergeCell ref="O45:P45"/>
    <mergeCell ref="K44:P44"/>
    <mergeCell ref="F47:I47"/>
    <mergeCell ref="F48:F49"/>
    <mergeCell ref="G48:H48"/>
    <mergeCell ref="K45:L45"/>
    <mergeCell ref="M45:N45"/>
    <mergeCell ref="G53:H53"/>
    <mergeCell ref="G29:H29"/>
    <mergeCell ref="I29:J29"/>
    <mergeCell ref="A26:K26"/>
    <mergeCell ref="C29:D29"/>
    <mergeCell ref="N1:P1"/>
    <mergeCell ref="A1:L1"/>
    <mergeCell ref="A2:B5"/>
    <mergeCell ref="M2:N4"/>
    <mergeCell ref="A20:A21"/>
    <mergeCell ref="A6:A7"/>
    <mergeCell ref="A8:A9"/>
    <mergeCell ref="A10:A11"/>
    <mergeCell ref="A12:A13"/>
    <mergeCell ref="A14:A15"/>
  </mergeCells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PC</cp:lastModifiedBy>
  <cp:lastPrinted>2021-08-16T10:56:23Z</cp:lastPrinted>
  <dcterms:created xsi:type="dcterms:W3CDTF">2019-02-15T13:40:42Z</dcterms:created>
  <dcterms:modified xsi:type="dcterms:W3CDTF">2021-08-16T10:56:38Z</dcterms:modified>
</cp:coreProperties>
</file>